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0 Cartelle Comuni\0 - Previdenza e Lavoro\Costo datore di lavoro\"/>
    </mc:Choice>
  </mc:AlternateContent>
  <bookViews>
    <workbookView xWindow="-105" yWindow="-105" windowWidth="19425" windowHeight="10425"/>
  </bookViews>
  <sheets>
    <sheet name="Lavoro subordinato" sheetId="1" r:id="rId1"/>
    <sheet name="Co.Co.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" l="1"/>
  <c r="C4" i="1" l="1"/>
  <c r="C12" i="2" l="1"/>
  <c r="O12" i="2" s="1"/>
  <c r="C11" i="2"/>
  <c r="D11" i="2" s="1"/>
  <c r="O11" i="2" s="1"/>
  <c r="C10" i="2"/>
  <c r="D10" i="2" s="1"/>
  <c r="C9" i="2"/>
  <c r="D9" i="2" s="1"/>
  <c r="C8" i="2"/>
  <c r="D8" i="2" s="1"/>
  <c r="O8" i="2" s="1"/>
  <c r="C7" i="2"/>
  <c r="D7" i="2" s="1"/>
  <c r="E7" i="2" s="1"/>
  <c r="F7" i="2" s="1"/>
  <c r="C6" i="2"/>
  <c r="D6" i="2" s="1"/>
  <c r="O6" i="2" s="1"/>
  <c r="C5" i="2"/>
  <c r="D5" i="2" s="1"/>
  <c r="E5" i="2" s="1"/>
  <c r="F5" i="2" s="1"/>
  <c r="C4" i="2"/>
  <c r="D4" i="2" s="1"/>
  <c r="C12" i="1"/>
  <c r="D12" i="1" s="1"/>
  <c r="C11" i="1"/>
  <c r="D11" i="1" s="1"/>
  <c r="C10" i="1"/>
  <c r="D10" i="1" s="1"/>
  <c r="E10" i="1" s="1"/>
  <c r="F10" i="1" s="1"/>
  <c r="C9" i="1"/>
  <c r="D9" i="1" s="1"/>
  <c r="C8" i="1"/>
  <c r="D8" i="1" s="1"/>
  <c r="C7" i="1"/>
  <c r="D7" i="1" s="1"/>
  <c r="N7" i="1" s="1"/>
  <c r="C6" i="1"/>
  <c r="D6" i="1" s="1"/>
  <c r="C5" i="1"/>
  <c r="D5" i="1" s="1"/>
  <c r="D4" i="1"/>
  <c r="Q10" i="1" l="1"/>
  <c r="T10" i="1" s="1"/>
  <c r="O4" i="2"/>
  <c r="E4" i="2"/>
  <c r="F4" i="2" s="1"/>
  <c r="O9" i="2"/>
  <c r="E9" i="2"/>
  <c r="F9" i="2" s="1"/>
  <c r="R8" i="2"/>
  <c r="Q8" i="2"/>
  <c r="P8" i="2"/>
  <c r="S8" i="2" s="1"/>
  <c r="K5" i="2"/>
  <c r="G5" i="2"/>
  <c r="L5" i="2"/>
  <c r="E10" i="2"/>
  <c r="F10" i="2" s="1"/>
  <c r="O10" i="2"/>
  <c r="R6" i="2"/>
  <c r="Q6" i="2"/>
  <c r="P6" i="2"/>
  <c r="R11" i="2"/>
  <c r="Q11" i="2"/>
  <c r="P11" i="2"/>
  <c r="K7" i="2"/>
  <c r="G7" i="2"/>
  <c r="L7" i="2"/>
  <c r="P12" i="2"/>
  <c r="R12" i="2"/>
  <c r="Q12" i="2"/>
  <c r="E11" i="2"/>
  <c r="F11" i="2" s="1"/>
  <c r="E8" i="2"/>
  <c r="F8" i="2" s="1"/>
  <c r="E12" i="2"/>
  <c r="F12" i="2" s="1"/>
  <c r="E6" i="2"/>
  <c r="F6" i="2" s="1"/>
  <c r="O7" i="2"/>
  <c r="O5" i="2"/>
  <c r="Q6" i="1"/>
  <c r="N6" i="1"/>
  <c r="E6" i="1"/>
  <c r="F6" i="1" s="1"/>
  <c r="Q11" i="1"/>
  <c r="N11" i="1"/>
  <c r="E11" i="1"/>
  <c r="F11" i="1" s="1"/>
  <c r="E12" i="1"/>
  <c r="F12" i="1" s="1"/>
  <c r="Q12" i="1"/>
  <c r="N12" i="1"/>
  <c r="Q8" i="1"/>
  <c r="E8" i="1"/>
  <c r="F8" i="1" s="1"/>
  <c r="N8" i="1"/>
  <c r="N9" i="1"/>
  <c r="E9" i="1"/>
  <c r="F9" i="1" s="1"/>
  <c r="Q9" i="1"/>
  <c r="G10" i="1"/>
  <c r="H10" i="1"/>
  <c r="L10" i="1"/>
  <c r="K10" i="1"/>
  <c r="M10" i="1" s="1"/>
  <c r="O10" i="1" s="1"/>
  <c r="P10" i="1" s="1"/>
  <c r="E4" i="1"/>
  <c r="F4" i="1" s="1"/>
  <c r="N4" i="1"/>
  <c r="Q4" i="1"/>
  <c r="Q5" i="1"/>
  <c r="N5" i="1"/>
  <c r="E5" i="1"/>
  <c r="F5" i="1" s="1"/>
  <c r="E7" i="1"/>
  <c r="F7" i="1" s="1"/>
  <c r="Q7" i="1"/>
  <c r="S10" i="1"/>
  <c r="N10" i="1"/>
  <c r="S11" i="2" l="1"/>
  <c r="U11" i="2" s="1"/>
  <c r="M5" i="2"/>
  <c r="N5" i="2" s="1"/>
  <c r="S6" i="2"/>
  <c r="U6" i="2" s="1"/>
  <c r="S12" i="2"/>
  <c r="U12" i="2" s="1"/>
  <c r="M7" i="2"/>
  <c r="N7" i="2" s="1"/>
  <c r="U10" i="1"/>
  <c r="R10" i="1"/>
  <c r="V10" i="1" s="1"/>
  <c r="X10" i="1" s="1"/>
  <c r="U8" i="2"/>
  <c r="R5" i="2"/>
  <c r="P5" i="2"/>
  <c r="Q5" i="2"/>
  <c r="G9" i="2"/>
  <c r="L9" i="2"/>
  <c r="K9" i="2"/>
  <c r="L10" i="2"/>
  <c r="K10" i="2"/>
  <c r="H10" i="2"/>
  <c r="G10" i="2"/>
  <c r="R7" i="2"/>
  <c r="Q7" i="2"/>
  <c r="P7" i="2"/>
  <c r="P9" i="2"/>
  <c r="R9" i="2"/>
  <c r="Q9" i="2"/>
  <c r="G8" i="2"/>
  <c r="L8" i="2"/>
  <c r="K8" i="2"/>
  <c r="M8" i="2" s="1"/>
  <c r="R4" i="2"/>
  <c r="Q4" i="2"/>
  <c r="P4" i="2"/>
  <c r="K11" i="2"/>
  <c r="G11" i="2"/>
  <c r="H11" i="2"/>
  <c r="L11" i="2"/>
  <c r="R10" i="2"/>
  <c r="Q10" i="2"/>
  <c r="P10" i="2"/>
  <c r="K6" i="2"/>
  <c r="G6" i="2"/>
  <c r="L6" i="2"/>
  <c r="H12" i="2"/>
  <c r="G12" i="2"/>
  <c r="L12" i="2"/>
  <c r="K12" i="2"/>
  <c r="K4" i="2"/>
  <c r="G4" i="2"/>
  <c r="L4" i="2"/>
  <c r="S7" i="1"/>
  <c r="U7" i="1"/>
  <c r="T7" i="1"/>
  <c r="R7" i="1"/>
  <c r="U9" i="1"/>
  <c r="T9" i="1"/>
  <c r="S9" i="1"/>
  <c r="R9" i="1"/>
  <c r="U4" i="1"/>
  <c r="T4" i="1"/>
  <c r="S4" i="1"/>
  <c r="R4" i="1"/>
  <c r="L9" i="1"/>
  <c r="K9" i="1"/>
  <c r="H9" i="1"/>
  <c r="G9" i="1"/>
  <c r="I9" i="1" s="1"/>
  <c r="L7" i="1"/>
  <c r="K7" i="1"/>
  <c r="G7" i="1"/>
  <c r="L4" i="1"/>
  <c r="K4" i="1"/>
  <c r="G4" i="1"/>
  <c r="T12" i="1"/>
  <c r="R12" i="1"/>
  <c r="U12" i="1"/>
  <c r="S12" i="1"/>
  <c r="G8" i="1"/>
  <c r="K8" i="1"/>
  <c r="L8" i="1"/>
  <c r="L12" i="1"/>
  <c r="K12" i="1"/>
  <c r="H12" i="1"/>
  <c r="G12" i="1"/>
  <c r="I12" i="1" s="1"/>
  <c r="J12" i="1" s="1"/>
  <c r="K11" i="1"/>
  <c r="H11" i="1"/>
  <c r="G11" i="1"/>
  <c r="I11" i="1" s="1"/>
  <c r="J11" i="1" s="1"/>
  <c r="L11" i="1"/>
  <c r="R11" i="1"/>
  <c r="V11" i="1" s="1"/>
  <c r="U11" i="1"/>
  <c r="T11" i="1"/>
  <c r="S11" i="1"/>
  <c r="L5" i="1"/>
  <c r="K5" i="1"/>
  <c r="M5" i="1" s="1"/>
  <c r="O5" i="1" s="1"/>
  <c r="P5" i="1" s="1"/>
  <c r="G5" i="1"/>
  <c r="L6" i="1"/>
  <c r="K6" i="1"/>
  <c r="G6" i="1"/>
  <c r="T5" i="1"/>
  <c r="S5" i="1"/>
  <c r="V5" i="1" s="1"/>
  <c r="R5" i="1"/>
  <c r="U5" i="1"/>
  <c r="I10" i="1"/>
  <c r="R8" i="1"/>
  <c r="S8" i="1"/>
  <c r="U8" i="1"/>
  <c r="T8" i="1"/>
  <c r="R6" i="1"/>
  <c r="U6" i="1"/>
  <c r="T6" i="1"/>
  <c r="S6" i="1"/>
  <c r="M11" i="1" l="1"/>
  <c r="O11" i="1" s="1"/>
  <c r="P11" i="1" s="1"/>
  <c r="M9" i="1"/>
  <c r="O9" i="1" s="1"/>
  <c r="P9" i="1" s="1"/>
  <c r="V7" i="1"/>
  <c r="V8" i="1"/>
  <c r="X8" i="1" s="1"/>
  <c r="M6" i="1"/>
  <c r="O6" i="1" s="1"/>
  <c r="P6" i="1" s="1"/>
  <c r="S5" i="2"/>
  <c r="T5" i="2" s="1"/>
  <c r="S10" i="2"/>
  <c r="U10" i="2" s="1"/>
  <c r="M4" i="2"/>
  <c r="N4" i="2" s="1"/>
  <c r="S7" i="2"/>
  <c r="T7" i="2" s="1"/>
  <c r="M9" i="2"/>
  <c r="N9" i="2" s="1"/>
  <c r="S4" i="2"/>
  <c r="M6" i="2"/>
  <c r="N6" i="2" s="1"/>
  <c r="I10" i="2"/>
  <c r="S9" i="2"/>
  <c r="M10" i="2"/>
  <c r="N10" i="2" s="1"/>
  <c r="W10" i="1"/>
  <c r="M7" i="1"/>
  <c r="O7" i="1" s="1"/>
  <c r="P7" i="1" s="1"/>
  <c r="V9" i="1"/>
  <c r="V12" i="1"/>
  <c r="X12" i="1" s="1"/>
  <c r="M12" i="1"/>
  <c r="O12" i="1" s="1"/>
  <c r="P12" i="1" s="1"/>
  <c r="V6" i="1"/>
  <c r="W6" i="1" s="1"/>
  <c r="V4" i="1"/>
  <c r="M4" i="1"/>
  <c r="O4" i="1" s="1"/>
  <c r="P4" i="1" s="1"/>
  <c r="U4" i="2"/>
  <c r="N8" i="2"/>
  <c r="T8" i="2"/>
  <c r="I12" i="2"/>
  <c r="J12" i="2" s="1"/>
  <c r="M12" i="2" s="1"/>
  <c r="I11" i="2"/>
  <c r="M11" i="2" s="1"/>
  <c r="X9" i="1"/>
  <c r="W9" i="1"/>
  <c r="X6" i="1"/>
  <c r="X11" i="1"/>
  <c r="W11" i="1"/>
  <c r="M8" i="1"/>
  <c r="O8" i="1" s="1"/>
  <c r="P8" i="1" s="1"/>
  <c r="W7" i="1"/>
  <c r="X7" i="1"/>
  <c r="X5" i="1"/>
  <c r="W5" i="1"/>
  <c r="W4" i="1" l="1"/>
  <c r="T6" i="2"/>
  <c r="T9" i="2"/>
  <c r="U5" i="2"/>
  <c r="U7" i="2"/>
  <c r="T4" i="2"/>
  <c r="T10" i="2"/>
  <c r="U9" i="2"/>
  <c r="W12" i="1"/>
  <c r="X4" i="1"/>
  <c r="N11" i="2"/>
  <c r="T11" i="2"/>
  <c r="N12" i="2"/>
  <c r="T12" i="2"/>
  <c r="W8" i="1"/>
</calcChain>
</file>

<file path=xl/sharedStrings.xml><?xml version="1.0" encoding="utf-8"?>
<sst xmlns="http://schemas.openxmlformats.org/spreadsheetml/2006/main" count="63" uniqueCount="46">
  <si>
    <t>Dati contratto</t>
  </si>
  <si>
    <t>Prospettiva Lavoratore subordinato a tempo determinato
(che non ha altri redditi oltre a quelli relativi al contratto di lavoro subordinato part-time in oggetto)</t>
  </si>
  <si>
    <t>Prospettiva Parrocchia</t>
  </si>
  <si>
    <t>Retribuzione oraria lorda (da CCNL)</t>
  </si>
  <si>
    <t>Ore settimanali</t>
  </si>
  <si>
    <t>Retribuzione lorda annuale (compresa 13°)</t>
  </si>
  <si>
    <t xml:space="preserve">Contributi INPS lavoratore </t>
  </si>
  <si>
    <t>Imponibile IRPEF
(ipotesi aliquota 23%)</t>
  </si>
  <si>
    <t>IRPEF Lorda</t>
  </si>
  <si>
    <t>Detrazioni IRPEF 
se il lavoro si prolunga per un anno</t>
  </si>
  <si>
    <t>IRPEF  netta</t>
  </si>
  <si>
    <t>IRPEF meno Bonus Renzi   (960 euro)</t>
  </si>
  <si>
    <t>Add. reg. Lombardia</t>
  </si>
  <si>
    <t>Add. com. (Milano)</t>
  </si>
  <si>
    <t>Retribuzione netta annuale (compresa 13°)</t>
  </si>
  <si>
    <t>Rateo annuale TFR</t>
  </si>
  <si>
    <t>Retribuzione netta annua (comprese ferie, 13° e TFR)</t>
  </si>
  <si>
    <t>Compenso orario netto (sulla base delle ore settimanali + 13°)</t>
  </si>
  <si>
    <t>Contributi INPS Datore (comprensivo maggiorazione tempo determinato)</t>
  </si>
  <si>
    <t>Premio INAIL Datore</t>
  </si>
  <si>
    <t>TFR</t>
  </si>
  <si>
    <t>IRAP 
(senza agevolazioni)</t>
  </si>
  <si>
    <t>Cuneo (in % sul netto lavoratore)</t>
  </si>
  <si>
    <t xml:space="preserve">Costo orario lordo complessivo </t>
  </si>
  <si>
    <t>d-e</t>
  </si>
  <si>
    <t>(D4-E4-J4-K4-L4)</t>
  </si>
  <si>
    <t>(V-O)/O</t>
  </si>
  <si>
    <t>Prospettiva Collaboratore coordinato e lavoratore autonomo occasionale (per i compensi &gt; 5.000 su base annua)
(che non ha altri redditi oltre a quelli relativi al contratto di lavoro subordinato part-time in oggetto)</t>
  </si>
  <si>
    <t>Retribuzione oraria lorda (da CCNL) utilizzata per determinare il compenso complessivo sulla base del servizio richiesto</t>
  </si>
  <si>
    <t>Impegno del collaboratore stimpato in ore settimanali</t>
  </si>
  <si>
    <t>Impegno del collaboratore stimpato in ore annuali</t>
  </si>
  <si>
    <t>Compenso lordo annuale</t>
  </si>
  <si>
    <t xml:space="preserve">Contributi INPS Lavoratore (1/3) </t>
  </si>
  <si>
    <t>Retribuzione netta annua</t>
  </si>
  <si>
    <t>Compenso lordo annuo</t>
  </si>
  <si>
    <t>Contributi INPS Datore (2/3)</t>
  </si>
  <si>
    <t>Totale ore annue  retribuite (comprese le ore relative alle ferie e alla 13°)</t>
  </si>
  <si>
    <t>Retribuzione oraria netta (sulla base delle ore settimanali + 13°)</t>
  </si>
  <si>
    <t xml:space="preserve">Retribuzione annua lorda (comprese ferie e 13°) </t>
  </si>
  <si>
    <t>Costo complessivo del lavoro (comprensivo di ferie, 13° e TFR, IRAP)</t>
  </si>
  <si>
    <t>Compenso contrattuale</t>
  </si>
  <si>
    <t>Retribuzione contrattuale</t>
  </si>
  <si>
    <t>Netto dipendente</t>
  </si>
  <si>
    <t>Netto collaboratore</t>
  </si>
  <si>
    <t>Costo azienda</t>
  </si>
  <si>
    <t>Costo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</si>
</sst>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0DE"/>
        <bgColor indexed="64"/>
      </patternFill>
    </fill>
    <fill>
      <patternFill patternType="solid">
        <fgColor rgb="FFFAD3B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2" fillId="0" borderId="0" xfId="0" applyNumberFormat="1" applyFont="1" applyAlignment="1" applyProtection="1">
      <alignment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0" fillId="5" borderId="0" xfId="0" applyNumberFormat="1" applyFill="1" applyAlignment="1" applyProtection="1">
      <alignment horizontal="center" vertical="center" wrapText="1"/>
      <protection locked="0"/>
    </xf>
    <xf numFmtId="10" fontId="1" fillId="6" borderId="2" xfId="0" applyNumberFormat="1" applyFont="1" applyFill="1" applyBorder="1" applyAlignment="1">
      <alignment horizontal="center" vertical="center"/>
    </xf>
    <xf numFmtId="164" fontId="2" fillId="7" borderId="2" xfId="0" applyNumberFormat="1" applyFont="1" applyFill="1" applyBorder="1" applyAlignment="1" applyProtection="1">
      <alignment horizontal="center" vertical="center"/>
      <protection locked="0"/>
    </xf>
    <xf numFmtId="10" fontId="1" fillId="7" borderId="2" xfId="0" applyNumberFormat="1" applyFont="1" applyFill="1" applyBorder="1" applyAlignment="1" applyProtection="1">
      <alignment horizontal="center" vertical="center"/>
      <protection locked="0"/>
    </xf>
    <xf numFmtId="164" fontId="0" fillId="7" borderId="2" xfId="0" applyNumberFormat="1" applyFill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165" fontId="2" fillId="0" borderId="2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164" fontId="2" fillId="0" borderId="2" xfId="0" applyNumberFormat="1" applyFont="1" applyBorder="1" applyProtection="1">
      <protection locked="0"/>
    </xf>
    <xf numFmtId="164" fontId="2" fillId="8" borderId="2" xfId="0" applyNumberFormat="1" applyFont="1" applyFill="1" applyBorder="1"/>
    <xf numFmtId="164" fontId="0" fillId="0" borderId="2" xfId="0" applyNumberFormat="1" applyBorder="1"/>
    <xf numFmtId="164" fontId="2" fillId="0" borderId="2" xfId="0" applyNumberFormat="1" applyFont="1" applyBorder="1"/>
    <xf numFmtId="165" fontId="2" fillId="8" borderId="2" xfId="0" applyNumberFormat="1" applyFont="1" applyFill="1" applyBorder="1"/>
    <xf numFmtId="165" fontId="0" fillId="0" borderId="2" xfId="0" applyNumberFormat="1" applyBorder="1"/>
    <xf numFmtId="165" fontId="2" fillId="8" borderId="2" xfId="0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 applyAlignment="1">
      <alignment wrapText="1"/>
    </xf>
    <xf numFmtId="165" fontId="2" fillId="0" borderId="0" xfId="0" applyNumberFormat="1" applyFont="1" applyProtection="1">
      <protection locked="0"/>
    </xf>
    <xf numFmtId="164" fontId="0" fillId="0" borderId="2" xfId="0" applyNumberFormat="1" applyBorder="1" applyProtection="1">
      <protection locked="0"/>
    </xf>
    <xf numFmtId="10" fontId="1" fillId="6" borderId="2" xfId="0" applyNumberFormat="1" applyFont="1" applyFill="1" applyBorder="1"/>
    <xf numFmtId="164" fontId="2" fillId="7" borderId="2" xfId="0" applyNumberFormat="1" applyFont="1" applyFill="1" applyBorder="1" applyProtection="1">
      <protection locked="0"/>
    </xf>
    <xf numFmtId="10" fontId="1" fillId="7" borderId="2" xfId="0" applyNumberFormat="1" applyFont="1" applyFill="1" applyBorder="1" applyProtection="1">
      <protection locked="0"/>
    </xf>
    <xf numFmtId="164" fontId="0" fillId="7" borderId="2" xfId="0" applyNumberFormat="1" applyFill="1" applyBorder="1" applyProtection="1">
      <protection locked="0"/>
    </xf>
    <xf numFmtId="164" fontId="2" fillId="7" borderId="2" xfId="0" applyNumberFormat="1" applyFont="1" applyFill="1" applyBorder="1"/>
    <xf numFmtId="164" fontId="0" fillId="7" borderId="2" xfId="0" applyNumberFormat="1" applyFill="1" applyBorder="1"/>
    <xf numFmtId="165" fontId="0" fillId="9" borderId="2" xfId="0" applyNumberFormat="1" applyFill="1" applyBorder="1"/>
    <xf numFmtId="164" fontId="0" fillId="0" borderId="0" xfId="0" applyNumberFormat="1" applyFill="1" applyProtection="1">
      <protection locked="0"/>
    </xf>
    <xf numFmtId="0" fontId="0" fillId="0" borderId="0" xfId="0" applyFill="1"/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0" xfId="0" applyNumberFormat="1" applyFont="1" applyFill="1" applyAlignment="1" applyProtection="1">
      <alignment horizontal="center" vertical="center" wrapText="1"/>
      <protection locked="0"/>
    </xf>
    <xf numFmtId="164" fontId="2" fillId="4" borderId="0" xfId="0" applyNumberFormat="1" applyFont="1" applyFill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workbookViewId="0">
      <selection activeCell="K11" sqref="K11"/>
    </sheetView>
  </sheetViews>
  <sheetFormatPr defaultRowHeight="15" x14ac:dyDescent="0.25"/>
  <cols>
    <col min="2" max="2" width="9.42578125" customWidth="1"/>
    <col min="4" max="4" width="13.28515625" customWidth="1"/>
    <col min="6" max="6" width="9.5703125" customWidth="1"/>
    <col min="13" max="13" width="13.140625" customWidth="1"/>
    <col min="15" max="15" width="10.7109375" customWidth="1"/>
    <col min="16" max="16" width="11" customWidth="1"/>
    <col min="17" max="17" width="10.42578125" customWidth="1"/>
    <col min="18" max="18" width="12.85546875" customWidth="1"/>
    <col min="21" max="21" width="11.7109375" customWidth="1"/>
    <col min="22" max="22" width="11.85546875" customWidth="1"/>
    <col min="23" max="23" width="9.85546875" customWidth="1"/>
    <col min="24" max="24" width="10.5703125" customWidth="1"/>
  </cols>
  <sheetData>
    <row r="1" spans="1:24" s="1" customFormat="1" ht="42.75" customHeight="1" x14ac:dyDescent="0.25">
      <c r="A1" s="42" t="s">
        <v>0</v>
      </c>
      <c r="B1" s="42"/>
      <c r="C1" s="42"/>
      <c r="D1" s="43" t="s">
        <v>1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 t="s">
        <v>2</v>
      </c>
      <c r="R1" s="44"/>
      <c r="S1" s="44"/>
      <c r="T1" s="44"/>
      <c r="U1" s="44"/>
      <c r="V1" s="44"/>
      <c r="W1" s="44"/>
      <c r="X1" s="44"/>
    </row>
    <row r="2" spans="1:24" s="7" customFormat="1" ht="102" x14ac:dyDescent="0.25">
      <c r="A2" s="2" t="s">
        <v>3</v>
      </c>
      <c r="B2" s="3" t="s">
        <v>4</v>
      </c>
      <c r="C2" s="2" t="s">
        <v>36</v>
      </c>
      <c r="D2" s="4" t="s">
        <v>5</v>
      </c>
      <c r="E2" s="4" t="s">
        <v>6</v>
      </c>
      <c r="F2" s="5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5" t="s">
        <v>14</v>
      </c>
      <c r="N2" s="4" t="s">
        <v>15</v>
      </c>
      <c r="O2" s="5" t="s">
        <v>16</v>
      </c>
      <c r="P2" s="5" t="s">
        <v>37</v>
      </c>
      <c r="Q2" s="6" t="s">
        <v>38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39</v>
      </c>
      <c r="W2" s="6" t="s">
        <v>22</v>
      </c>
      <c r="X2" s="6" t="s">
        <v>23</v>
      </c>
    </row>
    <row r="3" spans="1:24" s="8" customFormat="1" ht="45" x14ac:dyDescent="0.25">
      <c r="B3" s="9"/>
      <c r="C3" s="10"/>
      <c r="D3" s="11" t="s">
        <v>41</v>
      </c>
      <c r="E3" s="12">
        <v>9.1899999999999996E-2</v>
      </c>
      <c r="F3" s="13"/>
      <c r="G3" s="14">
        <v>0.23</v>
      </c>
      <c r="H3" s="15"/>
      <c r="I3" s="16"/>
      <c r="J3" s="15"/>
      <c r="K3" s="12">
        <v>1.23E-2</v>
      </c>
      <c r="L3" s="12">
        <v>8.0000000000000002E-3</v>
      </c>
      <c r="M3" s="11" t="s">
        <v>42</v>
      </c>
      <c r="N3" s="16"/>
      <c r="O3" s="10"/>
      <c r="P3" s="17"/>
      <c r="Q3" s="16"/>
      <c r="R3" s="12">
        <v>0.3039</v>
      </c>
      <c r="S3" s="12">
        <v>5.0000000000000001E-3</v>
      </c>
      <c r="T3" s="16"/>
      <c r="U3" s="12">
        <v>3.9E-2</v>
      </c>
      <c r="V3" s="11" t="s">
        <v>44</v>
      </c>
      <c r="W3" s="16"/>
      <c r="X3" s="16"/>
    </row>
    <row r="4" spans="1:24" s="27" customFormat="1" x14ac:dyDescent="0.25">
      <c r="A4" s="18">
        <v>8.1</v>
      </c>
      <c r="B4" s="19">
        <v>7.5</v>
      </c>
      <c r="C4" s="20">
        <f>(B4*54/12*13)</f>
        <v>438.75</v>
      </c>
      <c r="D4" s="21">
        <f>(A4*C4)</f>
        <v>3553.875</v>
      </c>
      <c r="E4" s="22">
        <f t="shared" ref="E4:E12" si="0">D4*9.19/100</f>
        <v>326.6011125</v>
      </c>
      <c r="F4" s="23">
        <f>SUM(D4,-E4)</f>
        <v>3227.2738875</v>
      </c>
      <c r="G4" s="22">
        <f t="shared" ref="G4:G12" si="1">F4*23/100</f>
        <v>742.27299412499997</v>
      </c>
      <c r="H4" s="22">
        <v>1880</v>
      </c>
      <c r="I4" s="22">
        <v>0</v>
      </c>
      <c r="J4" s="22">
        <v>0</v>
      </c>
      <c r="K4" s="22">
        <f t="shared" ref="K4:K12" si="2">F4*1.232/100</f>
        <v>39.760014294000001</v>
      </c>
      <c r="L4" s="22">
        <f t="shared" ref="L4:L12" si="3">F4*0.8/100</f>
        <v>25.818191100000004</v>
      </c>
      <c r="M4" s="21">
        <f t="shared" ref="M4:M10" si="4">SUM(D4-E4-J4-K4-L4)</f>
        <v>3161.6956821059998</v>
      </c>
      <c r="N4" s="23">
        <f>D4/13.5-(D4*0.5/100)</f>
        <v>245.480625</v>
      </c>
      <c r="O4" s="21">
        <f>(M4+N4)</f>
        <v>3407.176307106</v>
      </c>
      <c r="P4" s="24">
        <f>(O4/C4)</f>
        <v>7.7656440047999995</v>
      </c>
      <c r="Q4" s="22">
        <f t="shared" ref="Q4:Q12" si="5">D4</f>
        <v>3553.875</v>
      </c>
      <c r="R4" s="22">
        <f>Q4*30.39/100</f>
        <v>1080.0226124999999</v>
      </c>
      <c r="S4" s="22">
        <f t="shared" ref="S4:S12" si="6">Q4*0.5/100</f>
        <v>17.769375</v>
      </c>
      <c r="T4" s="22">
        <f>Q4/13.5-(Q4*0.5/100)</f>
        <v>245.480625</v>
      </c>
      <c r="U4" s="22">
        <f t="shared" ref="U4:U12" si="7">Q4*3.9/100</f>
        <v>138.601125</v>
      </c>
      <c r="V4" s="21">
        <f>SUM(Q4:U4)</f>
        <v>5035.7487375000001</v>
      </c>
      <c r="W4" s="25">
        <f t="shared" ref="W4:W12" si="8">(V4-O4)/O4*100</f>
        <v>47.798302277385901</v>
      </c>
      <c r="X4" s="26">
        <f t="shared" ref="X4:X12" si="9">(V4/C4)</f>
        <v>11.47749</v>
      </c>
    </row>
    <row r="5" spans="1:24" s="27" customFormat="1" x14ac:dyDescent="0.25">
      <c r="A5" s="18">
        <v>8.1</v>
      </c>
      <c r="B5" s="19">
        <v>10</v>
      </c>
      <c r="C5" s="20">
        <f t="shared" ref="C5:C12" si="10">(B5*54/12*13)</f>
        <v>585</v>
      </c>
      <c r="D5" s="21">
        <f t="shared" ref="D5:D12" si="11">(A5*C5)</f>
        <v>4738.5</v>
      </c>
      <c r="E5" s="22">
        <f t="shared" si="0"/>
        <v>435.46814999999992</v>
      </c>
      <c r="F5" s="23">
        <f t="shared" ref="F5:F12" si="12">SUM(D5,-E5)</f>
        <v>4303.0318500000003</v>
      </c>
      <c r="G5" s="22">
        <f t="shared" si="1"/>
        <v>989.69732550000003</v>
      </c>
      <c r="H5" s="22">
        <v>1880</v>
      </c>
      <c r="I5" s="22">
        <v>0</v>
      </c>
      <c r="J5" s="22">
        <v>0</v>
      </c>
      <c r="K5" s="22">
        <f t="shared" si="2"/>
        <v>53.013352392000009</v>
      </c>
      <c r="L5" s="22">
        <f t="shared" si="3"/>
        <v>34.4242548</v>
      </c>
      <c r="M5" s="21">
        <f t="shared" si="4"/>
        <v>4215.5942428079998</v>
      </c>
      <c r="N5" s="23">
        <f t="shared" ref="N5:N12" si="13">D5/13.5-(D5*0.5/100)</f>
        <v>327.3075</v>
      </c>
      <c r="O5" s="21">
        <f t="shared" ref="O5:O12" si="14">(M5+N5)</f>
        <v>4542.9017428079997</v>
      </c>
      <c r="P5" s="24">
        <f t="shared" ref="P5:P12" si="15">(O5/C5)</f>
        <v>7.7656440047999995</v>
      </c>
      <c r="Q5" s="22">
        <f t="shared" si="5"/>
        <v>4738.5</v>
      </c>
      <c r="R5" s="22">
        <f t="shared" ref="R5:R12" si="16">Q5*30.39/100</f>
        <v>1440.03015</v>
      </c>
      <c r="S5" s="22">
        <f t="shared" si="6"/>
        <v>23.692499999999999</v>
      </c>
      <c r="T5" s="22">
        <f t="shared" ref="T5:T12" si="17">Q5/13.5-(Q5*0.5/100)</f>
        <v>327.3075</v>
      </c>
      <c r="U5" s="22">
        <f t="shared" si="7"/>
        <v>184.80149999999998</v>
      </c>
      <c r="V5" s="21">
        <f t="shared" ref="V5:V10" si="18">SUM(Q5:U5)</f>
        <v>6714.3316500000001</v>
      </c>
      <c r="W5" s="25">
        <f t="shared" si="8"/>
        <v>47.798302277385915</v>
      </c>
      <c r="X5" s="26">
        <f t="shared" si="9"/>
        <v>11.47749</v>
      </c>
    </row>
    <row r="6" spans="1:24" s="27" customFormat="1" x14ac:dyDescent="0.25">
      <c r="A6" s="18">
        <v>8.1</v>
      </c>
      <c r="B6" s="19">
        <v>12</v>
      </c>
      <c r="C6" s="20">
        <f t="shared" si="10"/>
        <v>702</v>
      </c>
      <c r="D6" s="21">
        <f t="shared" si="11"/>
        <v>5686.2</v>
      </c>
      <c r="E6" s="22">
        <f t="shared" si="0"/>
        <v>522.56177999999989</v>
      </c>
      <c r="F6" s="23">
        <f t="shared" si="12"/>
        <v>5163.6382199999998</v>
      </c>
      <c r="G6" s="22">
        <f t="shared" si="1"/>
        <v>1187.6367906</v>
      </c>
      <c r="H6" s="22">
        <v>1880</v>
      </c>
      <c r="I6" s="22">
        <v>0</v>
      </c>
      <c r="J6" s="22">
        <v>0</v>
      </c>
      <c r="K6" s="22">
        <f t="shared" si="2"/>
        <v>63.616022870399995</v>
      </c>
      <c r="L6" s="22">
        <f t="shared" si="3"/>
        <v>41.309105760000001</v>
      </c>
      <c r="M6" s="21">
        <f t="shared" si="4"/>
        <v>5058.7130913695992</v>
      </c>
      <c r="N6" s="23">
        <f t="shared" si="13"/>
        <v>392.76900000000001</v>
      </c>
      <c r="O6" s="21">
        <f t="shared" si="14"/>
        <v>5451.4820913695994</v>
      </c>
      <c r="P6" s="24">
        <f t="shared" si="15"/>
        <v>7.7656440047999995</v>
      </c>
      <c r="Q6" s="22">
        <f t="shared" si="5"/>
        <v>5686.2</v>
      </c>
      <c r="R6" s="22">
        <f t="shared" si="16"/>
        <v>1728.0361799999998</v>
      </c>
      <c r="S6" s="22">
        <f t="shared" si="6"/>
        <v>28.430999999999997</v>
      </c>
      <c r="T6" s="22">
        <f t="shared" si="17"/>
        <v>392.76900000000001</v>
      </c>
      <c r="U6" s="22">
        <f t="shared" si="7"/>
        <v>221.76179999999999</v>
      </c>
      <c r="V6" s="21">
        <f t="shared" si="18"/>
        <v>8057.1979799999999</v>
      </c>
      <c r="W6" s="25">
        <f t="shared" si="8"/>
        <v>47.798302277385915</v>
      </c>
      <c r="X6" s="26">
        <f t="shared" si="9"/>
        <v>11.47749</v>
      </c>
    </row>
    <row r="7" spans="1:24" s="27" customFormat="1" x14ac:dyDescent="0.25">
      <c r="A7" s="18">
        <v>8.1</v>
      </c>
      <c r="B7" s="19">
        <v>15</v>
      </c>
      <c r="C7" s="20">
        <f t="shared" si="10"/>
        <v>877.5</v>
      </c>
      <c r="D7" s="21">
        <f t="shared" si="11"/>
        <v>7107.75</v>
      </c>
      <c r="E7" s="22">
        <f t="shared" si="0"/>
        <v>653.202225</v>
      </c>
      <c r="F7" s="23">
        <f t="shared" si="12"/>
        <v>6454.547775</v>
      </c>
      <c r="G7" s="22">
        <f t="shared" si="1"/>
        <v>1484.5459882499999</v>
      </c>
      <c r="H7" s="22">
        <v>1880</v>
      </c>
      <c r="I7" s="22">
        <v>0</v>
      </c>
      <c r="J7" s="22">
        <v>0</v>
      </c>
      <c r="K7" s="22">
        <f t="shared" si="2"/>
        <v>79.520028588000002</v>
      </c>
      <c r="L7" s="22">
        <f t="shared" si="3"/>
        <v>51.636382200000007</v>
      </c>
      <c r="M7" s="21">
        <f t="shared" si="4"/>
        <v>6323.3913642119996</v>
      </c>
      <c r="N7" s="23">
        <f t="shared" si="13"/>
        <v>490.96125000000001</v>
      </c>
      <c r="O7" s="21">
        <f t="shared" si="14"/>
        <v>6814.3526142119999</v>
      </c>
      <c r="P7" s="24">
        <f t="shared" si="15"/>
        <v>7.7656440047999995</v>
      </c>
      <c r="Q7" s="22">
        <f t="shared" si="5"/>
        <v>7107.75</v>
      </c>
      <c r="R7" s="22">
        <f t="shared" si="16"/>
        <v>2160.0452249999998</v>
      </c>
      <c r="S7" s="22">
        <f t="shared" si="6"/>
        <v>35.53875</v>
      </c>
      <c r="T7" s="22">
        <f t="shared" si="17"/>
        <v>490.96125000000001</v>
      </c>
      <c r="U7" s="22">
        <f t="shared" si="7"/>
        <v>277.20224999999999</v>
      </c>
      <c r="V7" s="21">
        <f t="shared" si="18"/>
        <v>10071.497475</v>
      </c>
      <c r="W7" s="25">
        <f t="shared" si="8"/>
        <v>47.798302277385901</v>
      </c>
      <c r="X7" s="26">
        <f t="shared" si="9"/>
        <v>11.47749</v>
      </c>
    </row>
    <row r="8" spans="1:24" s="27" customFormat="1" x14ac:dyDescent="0.25">
      <c r="A8" s="18">
        <v>8.1</v>
      </c>
      <c r="B8" s="19">
        <v>18</v>
      </c>
      <c r="C8" s="20">
        <f t="shared" si="10"/>
        <v>1053</v>
      </c>
      <c r="D8" s="21">
        <f t="shared" si="11"/>
        <v>8529.2999999999993</v>
      </c>
      <c r="E8" s="22">
        <f t="shared" si="0"/>
        <v>783.84266999999988</v>
      </c>
      <c r="F8" s="23">
        <f t="shared" si="12"/>
        <v>7745.4573299999993</v>
      </c>
      <c r="G8" s="22">
        <f t="shared" si="1"/>
        <v>1781.4551858999998</v>
      </c>
      <c r="H8" s="22">
        <v>1880</v>
      </c>
      <c r="I8" s="22">
        <v>0</v>
      </c>
      <c r="J8" s="22">
        <v>0</v>
      </c>
      <c r="K8" s="22">
        <f t="shared" si="2"/>
        <v>95.424034305600003</v>
      </c>
      <c r="L8" s="22">
        <f t="shared" si="3"/>
        <v>61.963658639999991</v>
      </c>
      <c r="M8" s="21">
        <f t="shared" si="4"/>
        <v>7588.0696370543992</v>
      </c>
      <c r="N8" s="23">
        <f t="shared" si="13"/>
        <v>589.15350000000001</v>
      </c>
      <c r="O8" s="21">
        <f t="shared" si="14"/>
        <v>8177.2231370543996</v>
      </c>
      <c r="P8" s="24">
        <f t="shared" si="15"/>
        <v>7.7656440047999995</v>
      </c>
      <c r="Q8" s="22">
        <f t="shared" si="5"/>
        <v>8529.2999999999993</v>
      </c>
      <c r="R8" s="22">
        <f t="shared" si="16"/>
        <v>2592.0542700000001</v>
      </c>
      <c r="S8" s="22">
        <f t="shared" si="6"/>
        <v>42.646499999999996</v>
      </c>
      <c r="T8" s="22">
        <f t="shared" si="17"/>
        <v>589.15350000000001</v>
      </c>
      <c r="U8" s="22">
        <f t="shared" si="7"/>
        <v>332.64269999999999</v>
      </c>
      <c r="V8" s="21">
        <f t="shared" si="18"/>
        <v>12085.796970000001</v>
      </c>
      <c r="W8" s="25">
        <f t="shared" si="8"/>
        <v>47.798302277385922</v>
      </c>
      <c r="X8" s="26">
        <f t="shared" si="9"/>
        <v>11.477490000000001</v>
      </c>
    </row>
    <row r="9" spans="1:24" s="27" customFormat="1" x14ac:dyDescent="0.25">
      <c r="A9" s="18">
        <v>8.1</v>
      </c>
      <c r="B9" s="19">
        <v>20</v>
      </c>
      <c r="C9" s="20">
        <f t="shared" si="10"/>
        <v>1170</v>
      </c>
      <c r="D9" s="21">
        <f t="shared" si="11"/>
        <v>9477</v>
      </c>
      <c r="E9" s="22">
        <f t="shared" si="0"/>
        <v>870.93629999999985</v>
      </c>
      <c r="F9" s="23">
        <f t="shared" si="12"/>
        <v>8606.0637000000006</v>
      </c>
      <c r="G9" s="22">
        <f t="shared" si="1"/>
        <v>1979.3946510000001</v>
      </c>
      <c r="H9" s="22">
        <f t="shared" ref="H9:H12" si="19">(978+(902*(28000-F9)/20000))</f>
        <v>1852.6665271300001</v>
      </c>
      <c r="I9" s="22">
        <f>(G9-H9)</f>
        <v>126.72812386999999</v>
      </c>
      <c r="J9" s="22">
        <v>0</v>
      </c>
      <c r="K9" s="22">
        <f t="shared" si="2"/>
        <v>106.02670478400002</v>
      </c>
      <c r="L9" s="22">
        <f t="shared" si="3"/>
        <v>68.8485096</v>
      </c>
      <c r="M9" s="21">
        <f t="shared" si="4"/>
        <v>8431.1884856159995</v>
      </c>
      <c r="N9" s="23">
        <f t="shared" si="13"/>
        <v>654.61500000000001</v>
      </c>
      <c r="O9" s="21">
        <f t="shared" si="14"/>
        <v>9085.8034856159993</v>
      </c>
      <c r="P9" s="24">
        <f t="shared" si="15"/>
        <v>7.7656440047999995</v>
      </c>
      <c r="Q9" s="22">
        <f t="shared" si="5"/>
        <v>9477</v>
      </c>
      <c r="R9" s="22">
        <f t="shared" si="16"/>
        <v>2880.0603000000001</v>
      </c>
      <c r="S9" s="22">
        <f t="shared" si="6"/>
        <v>47.384999999999998</v>
      </c>
      <c r="T9" s="22">
        <f t="shared" si="17"/>
        <v>654.61500000000001</v>
      </c>
      <c r="U9" s="22">
        <f t="shared" si="7"/>
        <v>369.60299999999995</v>
      </c>
      <c r="V9" s="21">
        <f t="shared" si="18"/>
        <v>13428.6633</v>
      </c>
      <c r="W9" s="25">
        <f t="shared" si="8"/>
        <v>47.798302277385915</v>
      </c>
      <c r="X9" s="26">
        <f t="shared" si="9"/>
        <v>11.47749</v>
      </c>
    </row>
    <row r="10" spans="1:24" s="27" customFormat="1" x14ac:dyDescent="0.25">
      <c r="A10" s="18">
        <v>8.1</v>
      </c>
      <c r="B10" s="19">
        <v>25</v>
      </c>
      <c r="C10" s="20">
        <f t="shared" si="10"/>
        <v>1462.5</v>
      </c>
      <c r="D10" s="21">
        <f t="shared" si="11"/>
        <v>11846.25</v>
      </c>
      <c r="E10" s="22">
        <f t="shared" si="0"/>
        <v>1088.6703749999999</v>
      </c>
      <c r="F10" s="23">
        <f t="shared" si="12"/>
        <v>10757.579625</v>
      </c>
      <c r="G10" s="22">
        <f t="shared" si="1"/>
        <v>2474.2433137500002</v>
      </c>
      <c r="H10" s="22">
        <f t="shared" si="19"/>
        <v>1755.6331589125002</v>
      </c>
      <c r="I10" s="22">
        <f t="shared" ref="I10:I12" si="20">(G10-H10)</f>
        <v>718.61015483749998</v>
      </c>
      <c r="J10" s="22">
        <v>0</v>
      </c>
      <c r="K10" s="22">
        <f t="shared" si="2"/>
        <v>132.53338098</v>
      </c>
      <c r="L10" s="22">
        <f t="shared" si="3"/>
        <v>86.060637</v>
      </c>
      <c r="M10" s="21">
        <f t="shared" si="4"/>
        <v>10538.98560702</v>
      </c>
      <c r="N10" s="23">
        <f t="shared" si="13"/>
        <v>818.26874999999995</v>
      </c>
      <c r="O10" s="21">
        <f t="shared" si="14"/>
        <v>11357.25435702</v>
      </c>
      <c r="P10" s="24">
        <f t="shared" si="15"/>
        <v>7.7656440047999995</v>
      </c>
      <c r="Q10" s="22">
        <f t="shared" si="5"/>
        <v>11846.25</v>
      </c>
      <c r="R10" s="22">
        <f t="shared" si="16"/>
        <v>3600.0753750000003</v>
      </c>
      <c r="S10" s="22">
        <f t="shared" si="6"/>
        <v>59.231250000000003</v>
      </c>
      <c r="T10" s="22">
        <f t="shared" si="17"/>
        <v>818.26874999999995</v>
      </c>
      <c r="U10" s="22">
        <f t="shared" si="7"/>
        <v>462.00375000000003</v>
      </c>
      <c r="V10" s="21">
        <f t="shared" si="18"/>
        <v>16785.829125</v>
      </c>
      <c r="W10" s="25">
        <f t="shared" si="8"/>
        <v>47.798302277385908</v>
      </c>
      <c r="X10" s="26">
        <f t="shared" si="9"/>
        <v>11.47749</v>
      </c>
    </row>
    <row r="11" spans="1:24" s="27" customFormat="1" x14ac:dyDescent="0.25">
      <c r="A11" s="18">
        <v>8.1</v>
      </c>
      <c r="B11" s="19">
        <v>30</v>
      </c>
      <c r="C11" s="20">
        <f t="shared" si="10"/>
        <v>1755</v>
      </c>
      <c r="D11" s="21">
        <f t="shared" si="11"/>
        <v>14215.5</v>
      </c>
      <c r="E11" s="22">
        <f t="shared" si="0"/>
        <v>1306.40445</v>
      </c>
      <c r="F11" s="23">
        <f t="shared" si="12"/>
        <v>12909.09555</v>
      </c>
      <c r="G11" s="22">
        <f t="shared" si="1"/>
        <v>2969.0919764999999</v>
      </c>
      <c r="H11" s="22">
        <f t="shared" si="19"/>
        <v>1658.5997906950001</v>
      </c>
      <c r="I11" s="22">
        <f t="shared" si="20"/>
        <v>1310.4921858049997</v>
      </c>
      <c r="J11" s="22">
        <f>(I11-960)</f>
        <v>350.49218580499974</v>
      </c>
      <c r="K11" s="22">
        <f t="shared" si="2"/>
        <v>159.040057176</v>
      </c>
      <c r="L11" s="22">
        <f t="shared" si="3"/>
        <v>103.27276440000001</v>
      </c>
      <c r="M11" s="21">
        <f>SUM(D11-E11-J11-K11-L11)</f>
        <v>12296.290542618999</v>
      </c>
      <c r="N11" s="23">
        <f t="shared" si="13"/>
        <v>981.92250000000001</v>
      </c>
      <c r="O11" s="21">
        <f t="shared" si="14"/>
        <v>13278.213042619</v>
      </c>
      <c r="P11" s="24">
        <f t="shared" si="15"/>
        <v>7.5659333576176637</v>
      </c>
      <c r="Q11" s="22">
        <f t="shared" si="5"/>
        <v>14215.5</v>
      </c>
      <c r="R11" s="22">
        <f t="shared" si="16"/>
        <v>4320.0904499999997</v>
      </c>
      <c r="S11" s="22">
        <f t="shared" si="6"/>
        <v>71.077500000000001</v>
      </c>
      <c r="T11" s="22">
        <f t="shared" si="17"/>
        <v>981.92250000000001</v>
      </c>
      <c r="U11" s="22">
        <f t="shared" si="7"/>
        <v>554.40449999999998</v>
      </c>
      <c r="V11" s="21">
        <f>SUM(Q11:U11)</f>
        <v>20142.99495</v>
      </c>
      <c r="W11" s="25">
        <f t="shared" si="8"/>
        <v>51.699591544036473</v>
      </c>
      <c r="X11" s="26">
        <f t="shared" si="9"/>
        <v>11.47749</v>
      </c>
    </row>
    <row r="12" spans="1:24" s="27" customFormat="1" x14ac:dyDescent="0.25">
      <c r="A12" s="18">
        <v>8.1</v>
      </c>
      <c r="B12" s="19">
        <v>34</v>
      </c>
      <c r="C12" s="20">
        <f t="shared" si="10"/>
        <v>1989</v>
      </c>
      <c r="D12" s="21">
        <f t="shared" si="11"/>
        <v>16110.9</v>
      </c>
      <c r="E12" s="22">
        <f t="shared" si="0"/>
        <v>1480.5917099999999</v>
      </c>
      <c r="F12" s="23">
        <f t="shared" si="12"/>
        <v>14630.308289999999</v>
      </c>
      <c r="G12" s="22">
        <f t="shared" si="1"/>
        <v>3364.9709066999999</v>
      </c>
      <c r="H12" s="22">
        <f t="shared" si="19"/>
        <v>1580.973096121</v>
      </c>
      <c r="I12" s="22">
        <f t="shared" si="20"/>
        <v>1783.9978105789999</v>
      </c>
      <c r="J12" s="22">
        <f t="shared" ref="J12" si="21">(I12-960)</f>
        <v>823.99781057899986</v>
      </c>
      <c r="K12" s="22">
        <f t="shared" si="2"/>
        <v>180.24539813280001</v>
      </c>
      <c r="L12" s="22">
        <f t="shared" si="3"/>
        <v>117.04246632</v>
      </c>
      <c r="M12" s="21">
        <f>SUM(D12-E12-J12-K12-L12)</f>
        <v>13509.0226149682</v>
      </c>
      <c r="N12" s="23">
        <f t="shared" si="13"/>
        <v>1112.8454999999999</v>
      </c>
      <c r="O12" s="21">
        <f t="shared" si="14"/>
        <v>14621.8681149682</v>
      </c>
      <c r="P12" s="24">
        <f t="shared" si="15"/>
        <v>7.3513665736391154</v>
      </c>
      <c r="Q12" s="22">
        <f t="shared" si="5"/>
        <v>16110.9</v>
      </c>
      <c r="R12" s="22">
        <f t="shared" si="16"/>
        <v>4896.1025099999997</v>
      </c>
      <c r="S12" s="22">
        <f t="shared" si="6"/>
        <v>80.554500000000004</v>
      </c>
      <c r="T12" s="22">
        <f t="shared" si="17"/>
        <v>1112.8454999999999</v>
      </c>
      <c r="U12" s="22">
        <f t="shared" si="7"/>
        <v>628.32509999999991</v>
      </c>
      <c r="V12" s="21">
        <f>SUM(Q12:U12)</f>
        <v>22828.727609999994</v>
      </c>
      <c r="W12" s="25">
        <f t="shared" si="8"/>
        <v>56.127298034035398</v>
      </c>
      <c r="X12" s="26">
        <f t="shared" si="9"/>
        <v>11.477489999999998</v>
      </c>
    </row>
    <row r="13" spans="1:24" s="27" customFormat="1" ht="30" x14ac:dyDescent="0.25">
      <c r="B13" s="28"/>
      <c r="C13" s="29"/>
      <c r="F13" s="29" t="s">
        <v>24</v>
      </c>
      <c r="G13" s="40"/>
      <c r="H13" s="40"/>
      <c r="I13" s="40"/>
      <c r="M13" s="30" t="s">
        <v>25</v>
      </c>
      <c r="O13" s="31"/>
      <c r="P13" s="29"/>
      <c r="V13" s="31"/>
      <c r="W13" s="30" t="s">
        <v>26</v>
      </c>
    </row>
    <row r="14" spans="1:24" x14ac:dyDescent="0.25">
      <c r="G14" s="41"/>
      <c r="H14" s="41"/>
      <c r="I14" s="41"/>
    </row>
    <row r="15" spans="1:24" x14ac:dyDescent="0.25">
      <c r="G15" s="41"/>
      <c r="H15" s="41"/>
      <c r="I15" s="41"/>
    </row>
    <row r="16" spans="1:24" x14ac:dyDescent="0.25">
      <c r="G16" s="41"/>
      <c r="H16" s="41"/>
      <c r="I16" s="41"/>
    </row>
  </sheetData>
  <sheetProtection algorithmName="SHA-512" hashValue="7246pkerGCUVTX7NX3swOUWUv6QM8ETniMN2lxqSUInhO0S1JiWYIudGZU2gSsZ0k/V4Aq6ZkY4ZEMeLwBG/pA==" saltValue="un+WCtfs1Rzfwm62d3MS+w==" spinCount="100000" sheet="1" objects="1" scenarios="1"/>
  <mergeCells count="3">
    <mergeCell ref="A1:C1"/>
    <mergeCell ref="D1:P1"/>
    <mergeCell ref="Q1:X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opLeftCell="F1" workbookViewId="0">
      <selection activeCell="O9" sqref="O9"/>
    </sheetView>
  </sheetViews>
  <sheetFormatPr defaultRowHeight="15" x14ac:dyDescent="0.25"/>
  <cols>
    <col min="1" max="1" width="11.42578125" customWidth="1"/>
    <col min="2" max="2" width="12.28515625" customWidth="1"/>
    <col min="3" max="3" width="11.5703125" customWidth="1"/>
    <col min="4" max="4" width="12.28515625" customWidth="1"/>
    <col min="5" max="5" width="9.85546875" customWidth="1"/>
    <col min="6" max="6" width="10.7109375" customWidth="1"/>
    <col min="8" max="8" width="9.7109375" customWidth="1"/>
    <col min="9" max="9" width="10" customWidth="1"/>
    <col min="13" max="13" width="12.42578125" customWidth="1"/>
    <col min="19" max="19" width="11.5703125" customWidth="1"/>
    <col min="20" max="20" width="9.5703125" customWidth="1"/>
    <col min="21" max="21" width="11.28515625" customWidth="1"/>
  </cols>
  <sheetData>
    <row r="1" spans="1:22" s="1" customFormat="1" ht="42.75" customHeight="1" x14ac:dyDescent="0.25">
      <c r="A1" s="42" t="s">
        <v>0</v>
      </c>
      <c r="B1" s="42"/>
      <c r="C1" s="42"/>
      <c r="D1" s="45" t="s">
        <v>27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6" t="s">
        <v>2</v>
      </c>
      <c r="P1" s="46"/>
      <c r="Q1" s="46"/>
      <c r="R1" s="46"/>
      <c r="S1" s="46"/>
      <c r="T1" s="46"/>
      <c r="U1" s="46"/>
    </row>
    <row r="2" spans="1:22" s="7" customFormat="1" ht="127.5" x14ac:dyDescent="0.25">
      <c r="A2" s="2" t="s">
        <v>28</v>
      </c>
      <c r="B2" s="3" t="s">
        <v>29</v>
      </c>
      <c r="C2" s="3" t="s">
        <v>30</v>
      </c>
      <c r="D2" s="4" t="s">
        <v>31</v>
      </c>
      <c r="E2" s="4" t="s">
        <v>32</v>
      </c>
      <c r="F2" s="5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5" t="s">
        <v>33</v>
      </c>
      <c r="N2" s="4" t="s">
        <v>17</v>
      </c>
      <c r="O2" s="6" t="s">
        <v>34</v>
      </c>
      <c r="P2" s="6" t="s">
        <v>35</v>
      </c>
      <c r="Q2" s="6" t="s">
        <v>19</v>
      </c>
      <c r="R2" s="6" t="s">
        <v>21</v>
      </c>
      <c r="S2" s="6" t="s">
        <v>45</v>
      </c>
      <c r="T2" s="6" t="s">
        <v>22</v>
      </c>
      <c r="U2" s="6" t="s">
        <v>23</v>
      </c>
    </row>
    <row r="3" spans="1:22" s="27" customFormat="1" ht="45" x14ac:dyDescent="0.25">
      <c r="B3" s="28"/>
      <c r="C3" s="20"/>
      <c r="D3" s="11" t="s">
        <v>40</v>
      </c>
      <c r="E3" s="33">
        <v>0.11409999999999999</v>
      </c>
      <c r="F3" s="34"/>
      <c r="G3" s="35">
        <v>0.23</v>
      </c>
      <c r="H3" s="36"/>
      <c r="I3" s="32"/>
      <c r="J3" s="36"/>
      <c r="K3" s="33">
        <v>1.23E-2</v>
      </c>
      <c r="L3" s="33">
        <v>8.0000000000000002E-3</v>
      </c>
      <c r="M3" s="11" t="s">
        <v>43</v>
      </c>
      <c r="N3" s="29"/>
      <c r="O3" s="32"/>
      <c r="P3" s="33">
        <v>0.22819999999999999</v>
      </c>
      <c r="Q3" s="33">
        <v>5.0000000000000001E-3</v>
      </c>
      <c r="R3" s="33">
        <v>3.9E-2</v>
      </c>
      <c r="S3" s="11" t="s">
        <v>44</v>
      </c>
      <c r="T3" s="32"/>
      <c r="U3" s="32"/>
    </row>
    <row r="4" spans="1:22" s="27" customFormat="1" x14ac:dyDescent="0.25">
      <c r="A4" s="18">
        <v>8.1</v>
      </c>
      <c r="B4" s="19">
        <v>7.5</v>
      </c>
      <c r="C4" s="20">
        <f>(B4*54)</f>
        <v>405</v>
      </c>
      <c r="D4" s="21">
        <f>(A4*C4)</f>
        <v>3280.5</v>
      </c>
      <c r="E4" s="22">
        <f>D4*11.41/100</f>
        <v>374.30504999999999</v>
      </c>
      <c r="F4" s="37">
        <f>SUM(D4,-E4)</f>
        <v>2906.1949500000001</v>
      </c>
      <c r="G4" s="38">
        <f t="shared" ref="G4:G12" si="0">F4*23/100</f>
        <v>668.42483850000008</v>
      </c>
      <c r="H4" s="38">
        <v>1880</v>
      </c>
      <c r="I4" s="22">
        <v>0</v>
      </c>
      <c r="J4" s="22">
        <v>0</v>
      </c>
      <c r="K4" s="22">
        <f t="shared" ref="K4:K12" si="1">F4*1.232/100</f>
        <v>35.804321783999995</v>
      </c>
      <c r="L4" s="22">
        <f t="shared" ref="L4:L12" si="2">F4*0.8/100</f>
        <v>23.249559600000001</v>
      </c>
      <c r="M4" s="21">
        <f t="shared" ref="M4:M10" si="3">SUM(D4-E4-J4-K4-L4)</f>
        <v>2847.1410686160002</v>
      </c>
      <c r="N4" s="24">
        <f t="shared" ref="N4:N12" si="4">(M4/C4)</f>
        <v>7.0299779472000008</v>
      </c>
      <c r="O4" s="22">
        <f t="shared" ref="O4:O12" si="5">D4</f>
        <v>3280.5</v>
      </c>
      <c r="P4" s="22">
        <f>O4*22.82/100</f>
        <v>748.61009999999999</v>
      </c>
      <c r="Q4" s="22">
        <f t="shared" ref="Q4:Q12" si="6">O4*0.5/100</f>
        <v>16.4025</v>
      </c>
      <c r="R4" s="22">
        <f t="shared" ref="R4:R12" si="7">O4*3.9/100</f>
        <v>127.9395</v>
      </c>
      <c r="S4" s="21">
        <f t="shared" ref="S4:S12" si="8">SUM(O4:R4)</f>
        <v>4173.4521000000004</v>
      </c>
      <c r="T4" s="39">
        <f t="shared" ref="T4:T12" si="9">(S4-M4)/M4*100</f>
        <v>46.583959116178328</v>
      </c>
      <c r="U4" s="26">
        <f t="shared" ref="U4:U12" si="10">(S4/C4)</f>
        <v>10.304820000000001</v>
      </c>
    </row>
    <row r="5" spans="1:22" s="27" customFormat="1" x14ac:dyDescent="0.25">
      <c r="A5" s="18">
        <v>8.1</v>
      </c>
      <c r="B5" s="19">
        <v>10</v>
      </c>
      <c r="C5" s="20">
        <f t="shared" ref="C5:C12" si="11">(B5*54)</f>
        <v>540</v>
      </c>
      <c r="D5" s="21">
        <f t="shared" ref="D5:D11" si="12">(A5*C5)</f>
        <v>4374</v>
      </c>
      <c r="E5" s="22">
        <f t="shared" ref="E5:E12" si="13">D5*11.41/100</f>
        <v>499.07340000000005</v>
      </c>
      <c r="F5" s="37">
        <f t="shared" ref="F5:F12" si="14">SUM(D5,-E5)</f>
        <v>3874.9265999999998</v>
      </c>
      <c r="G5" s="38">
        <f t="shared" si="0"/>
        <v>891.23311799999999</v>
      </c>
      <c r="H5" s="38">
        <v>1880</v>
      </c>
      <c r="I5" s="22">
        <v>0</v>
      </c>
      <c r="J5" s="22">
        <v>0</v>
      </c>
      <c r="K5" s="22">
        <f t="shared" si="1"/>
        <v>47.739095712000001</v>
      </c>
      <c r="L5" s="22">
        <f t="shared" si="2"/>
        <v>30.999412800000002</v>
      </c>
      <c r="M5" s="21">
        <f t="shared" si="3"/>
        <v>3796.1880914879998</v>
      </c>
      <c r="N5" s="24">
        <f t="shared" si="4"/>
        <v>7.0299779471999999</v>
      </c>
      <c r="O5" s="22">
        <f t="shared" si="5"/>
        <v>4374</v>
      </c>
      <c r="P5" s="22">
        <f t="shared" ref="P5:P12" si="15">O5*22.82/100</f>
        <v>998.1468000000001</v>
      </c>
      <c r="Q5" s="22">
        <f t="shared" si="6"/>
        <v>21.87</v>
      </c>
      <c r="R5" s="22">
        <f t="shared" si="7"/>
        <v>170.58599999999998</v>
      </c>
      <c r="S5" s="21">
        <f t="shared" si="8"/>
        <v>5564.6028000000006</v>
      </c>
      <c r="T5" s="39">
        <f t="shared" si="9"/>
        <v>46.583959116178342</v>
      </c>
      <c r="U5" s="26">
        <f t="shared" si="10"/>
        <v>10.304820000000001</v>
      </c>
    </row>
    <row r="6" spans="1:22" s="27" customFormat="1" x14ac:dyDescent="0.25">
      <c r="A6" s="18">
        <v>8.1</v>
      </c>
      <c r="B6" s="19">
        <v>12</v>
      </c>
      <c r="C6" s="20">
        <f t="shared" si="11"/>
        <v>648</v>
      </c>
      <c r="D6" s="21">
        <f t="shared" si="12"/>
        <v>5248.8</v>
      </c>
      <c r="E6" s="22">
        <f t="shared" si="13"/>
        <v>598.88808000000006</v>
      </c>
      <c r="F6" s="37">
        <f t="shared" si="14"/>
        <v>4649.9119200000005</v>
      </c>
      <c r="G6" s="38">
        <f t="shared" si="0"/>
        <v>1069.4797416000001</v>
      </c>
      <c r="H6" s="38">
        <v>1880</v>
      </c>
      <c r="I6" s="22">
        <v>0</v>
      </c>
      <c r="J6" s="22">
        <v>0</v>
      </c>
      <c r="K6" s="22">
        <f t="shared" si="1"/>
        <v>57.286914854400003</v>
      </c>
      <c r="L6" s="22">
        <f t="shared" si="2"/>
        <v>37.199295360000008</v>
      </c>
      <c r="M6" s="21">
        <f t="shared" si="3"/>
        <v>4555.4257097856007</v>
      </c>
      <c r="N6" s="24">
        <f t="shared" si="4"/>
        <v>7.0299779472000008</v>
      </c>
      <c r="O6" s="22">
        <f t="shared" si="5"/>
        <v>5248.8</v>
      </c>
      <c r="P6" s="22">
        <f t="shared" si="15"/>
        <v>1197.7761600000001</v>
      </c>
      <c r="Q6" s="22">
        <f t="shared" si="6"/>
        <v>26.244</v>
      </c>
      <c r="R6" s="22">
        <f t="shared" si="7"/>
        <v>204.70320000000001</v>
      </c>
      <c r="S6" s="21">
        <f t="shared" si="8"/>
        <v>6677.5233600000001</v>
      </c>
      <c r="T6" s="39">
        <f t="shared" si="9"/>
        <v>46.583959116178306</v>
      </c>
      <c r="U6" s="26">
        <f t="shared" si="10"/>
        <v>10.304819999999999</v>
      </c>
    </row>
    <row r="7" spans="1:22" s="27" customFormat="1" x14ac:dyDescent="0.25">
      <c r="A7" s="18">
        <v>8.1</v>
      </c>
      <c r="B7" s="19">
        <v>15</v>
      </c>
      <c r="C7" s="20">
        <f t="shared" si="11"/>
        <v>810</v>
      </c>
      <c r="D7" s="21">
        <f t="shared" si="12"/>
        <v>6561</v>
      </c>
      <c r="E7" s="22">
        <f t="shared" si="13"/>
        <v>748.61009999999999</v>
      </c>
      <c r="F7" s="37">
        <f t="shared" si="14"/>
        <v>5812.3899000000001</v>
      </c>
      <c r="G7" s="38">
        <f t="shared" si="0"/>
        <v>1336.8496770000002</v>
      </c>
      <c r="H7" s="38">
        <v>1880</v>
      </c>
      <c r="I7" s="22">
        <v>0</v>
      </c>
      <c r="J7" s="22">
        <v>0</v>
      </c>
      <c r="K7" s="22">
        <f t="shared" si="1"/>
        <v>71.608643567999991</v>
      </c>
      <c r="L7" s="22">
        <f t="shared" si="2"/>
        <v>46.499119200000003</v>
      </c>
      <c r="M7" s="21">
        <f t="shared" si="3"/>
        <v>5694.2821372320004</v>
      </c>
      <c r="N7" s="24">
        <f t="shared" si="4"/>
        <v>7.0299779472000008</v>
      </c>
      <c r="O7" s="22">
        <f t="shared" si="5"/>
        <v>6561</v>
      </c>
      <c r="P7" s="22">
        <f t="shared" si="15"/>
        <v>1497.2202</v>
      </c>
      <c r="Q7" s="22">
        <f t="shared" si="6"/>
        <v>32.805</v>
      </c>
      <c r="R7" s="22">
        <f t="shared" si="7"/>
        <v>255.87899999999999</v>
      </c>
      <c r="S7" s="21">
        <f t="shared" si="8"/>
        <v>8346.9042000000009</v>
      </c>
      <c r="T7" s="39">
        <f t="shared" si="9"/>
        <v>46.583959116178328</v>
      </c>
      <c r="U7" s="26">
        <f t="shared" si="10"/>
        <v>10.304820000000001</v>
      </c>
    </row>
    <row r="8" spans="1:22" s="27" customFormat="1" x14ac:dyDescent="0.25">
      <c r="A8" s="18">
        <v>8.1</v>
      </c>
      <c r="B8" s="19">
        <v>18</v>
      </c>
      <c r="C8" s="20">
        <f t="shared" si="11"/>
        <v>972</v>
      </c>
      <c r="D8" s="21">
        <f t="shared" si="12"/>
        <v>7873.2</v>
      </c>
      <c r="E8" s="22">
        <f t="shared" si="13"/>
        <v>898.33212000000003</v>
      </c>
      <c r="F8" s="37">
        <f t="shared" si="14"/>
        <v>6974.8678799999998</v>
      </c>
      <c r="G8" s="38">
        <f t="shared" si="0"/>
        <v>1604.2196124</v>
      </c>
      <c r="H8" s="38">
        <v>1880</v>
      </c>
      <c r="I8" s="22">
        <v>0</v>
      </c>
      <c r="J8" s="22">
        <v>0</v>
      </c>
      <c r="K8" s="22">
        <f t="shared" si="1"/>
        <v>85.9303722816</v>
      </c>
      <c r="L8" s="22">
        <f t="shared" si="2"/>
        <v>55.798943040000005</v>
      </c>
      <c r="M8" s="21">
        <f t="shared" si="3"/>
        <v>6833.1385646783992</v>
      </c>
      <c r="N8" s="24">
        <f t="shared" si="4"/>
        <v>7.029977947199999</v>
      </c>
      <c r="O8" s="22">
        <f t="shared" si="5"/>
        <v>7873.2</v>
      </c>
      <c r="P8" s="22">
        <f t="shared" si="15"/>
        <v>1796.6642400000001</v>
      </c>
      <c r="Q8" s="22">
        <f t="shared" si="6"/>
        <v>39.366</v>
      </c>
      <c r="R8" s="22">
        <f t="shared" si="7"/>
        <v>307.0548</v>
      </c>
      <c r="S8" s="21">
        <f t="shared" si="8"/>
        <v>10016.285039999999</v>
      </c>
      <c r="T8" s="39">
        <f t="shared" si="9"/>
        <v>46.58395911617832</v>
      </c>
      <c r="U8" s="26">
        <f t="shared" si="10"/>
        <v>10.304819999999999</v>
      </c>
    </row>
    <row r="9" spans="1:22" s="27" customFormat="1" x14ac:dyDescent="0.25">
      <c r="A9" s="18">
        <v>8.1</v>
      </c>
      <c r="B9" s="19">
        <v>20</v>
      </c>
      <c r="C9" s="20">
        <f t="shared" si="11"/>
        <v>1080</v>
      </c>
      <c r="D9" s="21">
        <f t="shared" si="12"/>
        <v>8748</v>
      </c>
      <c r="E9" s="22">
        <f t="shared" si="13"/>
        <v>998.1468000000001</v>
      </c>
      <c r="F9" s="37">
        <f t="shared" si="14"/>
        <v>7749.8531999999996</v>
      </c>
      <c r="G9" s="38">
        <f t="shared" si="0"/>
        <v>1782.466236</v>
      </c>
      <c r="H9" s="38">
        <v>1880</v>
      </c>
      <c r="I9" s="22">
        <v>0</v>
      </c>
      <c r="J9" s="22">
        <v>0</v>
      </c>
      <c r="K9" s="22">
        <f t="shared" si="1"/>
        <v>95.478191424000002</v>
      </c>
      <c r="L9" s="22">
        <f t="shared" si="2"/>
        <v>61.998825600000004</v>
      </c>
      <c r="M9" s="21">
        <f t="shared" si="3"/>
        <v>7592.3761829759997</v>
      </c>
      <c r="N9" s="24">
        <f t="shared" si="4"/>
        <v>7.0299779471999999</v>
      </c>
      <c r="O9" s="22">
        <f t="shared" si="5"/>
        <v>8748</v>
      </c>
      <c r="P9" s="22">
        <f t="shared" si="15"/>
        <v>1996.2936000000002</v>
      </c>
      <c r="Q9" s="22">
        <f t="shared" si="6"/>
        <v>43.74</v>
      </c>
      <c r="R9" s="22">
        <f t="shared" si="7"/>
        <v>341.17199999999997</v>
      </c>
      <c r="S9" s="21">
        <f t="shared" si="8"/>
        <v>11129.205600000001</v>
      </c>
      <c r="T9" s="39">
        <f t="shared" si="9"/>
        <v>46.583959116178342</v>
      </c>
      <c r="U9" s="26">
        <f t="shared" si="10"/>
        <v>10.304820000000001</v>
      </c>
    </row>
    <row r="10" spans="1:22" s="27" customFormat="1" x14ac:dyDescent="0.25">
      <c r="A10" s="18">
        <v>8.1</v>
      </c>
      <c r="B10" s="19">
        <v>25</v>
      </c>
      <c r="C10" s="20">
        <f t="shared" si="11"/>
        <v>1350</v>
      </c>
      <c r="D10" s="21">
        <f t="shared" si="12"/>
        <v>10935</v>
      </c>
      <c r="E10" s="22">
        <f t="shared" si="13"/>
        <v>1247.6835000000001</v>
      </c>
      <c r="F10" s="37">
        <f t="shared" si="14"/>
        <v>9687.3165000000008</v>
      </c>
      <c r="G10" s="38">
        <f t="shared" si="0"/>
        <v>2228.0827950000003</v>
      </c>
      <c r="H10" s="38">
        <f t="shared" ref="H10:H12" si="16">(978+(902*(28000-F10)/20000))</f>
        <v>1803.90202585</v>
      </c>
      <c r="I10" s="22">
        <f t="shared" ref="I10:I12" si="17">(G10-H10)</f>
        <v>424.18076915000029</v>
      </c>
      <c r="J10" s="22">
        <v>0</v>
      </c>
      <c r="K10" s="22">
        <f t="shared" si="1"/>
        <v>119.34773928</v>
      </c>
      <c r="L10" s="22">
        <f t="shared" si="2"/>
        <v>77.498532000000012</v>
      </c>
      <c r="M10" s="21">
        <f t="shared" si="3"/>
        <v>9490.4702287200016</v>
      </c>
      <c r="N10" s="24">
        <f t="shared" si="4"/>
        <v>7.0299779472000008</v>
      </c>
      <c r="O10" s="22">
        <f t="shared" si="5"/>
        <v>10935</v>
      </c>
      <c r="P10" s="22">
        <f t="shared" si="15"/>
        <v>2495.3670000000002</v>
      </c>
      <c r="Q10" s="22">
        <f t="shared" si="6"/>
        <v>54.674999999999997</v>
      </c>
      <c r="R10" s="22">
        <f t="shared" si="7"/>
        <v>426.46499999999997</v>
      </c>
      <c r="S10" s="21">
        <f t="shared" si="8"/>
        <v>13911.507</v>
      </c>
      <c r="T10" s="39">
        <f t="shared" si="9"/>
        <v>46.583959116178292</v>
      </c>
      <c r="U10" s="26">
        <f t="shared" si="10"/>
        <v>10.304819999999999</v>
      </c>
    </row>
    <row r="11" spans="1:22" s="27" customFormat="1" x14ac:dyDescent="0.25">
      <c r="A11" s="18">
        <v>8.1</v>
      </c>
      <c r="B11" s="19">
        <v>30</v>
      </c>
      <c r="C11" s="20">
        <f t="shared" si="11"/>
        <v>1620</v>
      </c>
      <c r="D11" s="21">
        <f t="shared" si="12"/>
        <v>13122</v>
      </c>
      <c r="E11" s="22">
        <f t="shared" si="13"/>
        <v>1497.2202</v>
      </c>
      <c r="F11" s="37">
        <f t="shared" si="14"/>
        <v>11624.7798</v>
      </c>
      <c r="G11" s="38">
        <f t="shared" si="0"/>
        <v>2673.6993540000003</v>
      </c>
      <c r="H11" s="38">
        <f t="shared" si="16"/>
        <v>1716.5224310200001</v>
      </c>
      <c r="I11" s="22">
        <f t="shared" si="17"/>
        <v>957.1769229800002</v>
      </c>
      <c r="J11" s="22">
        <v>0</v>
      </c>
      <c r="K11" s="22">
        <f t="shared" si="1"/>
        <v>143.21728713599998</v>
      </c>
      <c r="L11" s="22">
        <f t="shared" si="2"/>
        <v>92.998238400000005</v>
      </c>
      <c r="M11" s="21">
        <f>SUM(D11-E11-J11-K11-L11)</f>
        <v>11388.564274464001</v>
      </c>
      <c r="N11" s="24">
        <f t="shared" si="4"/>
        <v>7.0299779472000008</v>
      </c>
      <c r="O11" s="22">
        <f t="shared" si="5"/>
        <v>13122</v>
      </c>
      <c r="P11" s="22">
        <f t="shared" si="15"/>
        <v>2994.4404</v>
      </c>
      <c r="Q11" s="22">
        <f t="shared" si="6"/>
        <v>65.61</v>
      </c>
      <c r="R11" s="22">
        <f t="shared" si="7"/>
        <v>511.75799999999998</v>
      </c>
      <c r="S11" s="21">
        <f t="shared" si="8"/>
        <v>16693.808400000002</v>
      </c>
      <c r="T11" s="39">
        <f t="shared" si="9"/>
        <v>46.583959116178328</v>
      </c>
      <c r="U11" s="26">
        <f t="shared" si="10"/>
        <v>10.304820000000001</v>
      </c>
    </row>
    <row r="12" spans="1:22" s="27" customFormat="1" x14ac:dyDescent="0.25">
      <c r="A12" s="18">
        <v>8.1</v>
      </c>
      <c r="B12" s="19">
        <v>34</v>
      </c>
      <c r="C12" s="20">
        <f t="shared" si="11"/>
        <v>1836</v>
      </c>
      <c r="D12" s="21">
        <f>(A12*C12)</f>
        <v>14871.599999999999</v>
      </c>
      <c r="E12" s="22">
        <f t="shared" si="13"/>
        <v>1696.8495599999997</v>
      </c>
      <c r="F12" s="37">
        <f t="shared" si="14"/>
        <v>13174.75044</v>
      </c>
      <c r="G12" s="38">
        <f t="shared" si="0"/>
        <v>3030.1926011999999</v>
      </c>
      <c r="H12" s="38">
        <f t="shared" si="16"/>
        <v>1646.6187551560001</v>
      </c>
      <c r="I12" s="22">
        <f t="shared" si="17"/>
        <v>1383.5738460439998</v>
      </c>
      <c r="J12" s="22">
        <f t="shared" ref="J12" si="18">(I12-960)</f>
        <v>423.57384604399977</v>
      </c>
      <c r="K12" s="22">
        <f t="shared" si="1"/>
        <v>162.31292542080001</v>
      </c>
      <c r="L12" s="22">
        <f t="shared" si="2"/>
        <v>105.39800352</v>
      </c>
      <c r="M12" s="21">
        <f>SUM(D12-E12-J12-K12-L12)</f>
        <v>12483.465665015199</v>
      </c>
      <c r="N12" s="24">
        <f t="shared" si="4"/>
        <v>6.7992732380257079</v>
      </c>
      <c r="O12" s="22">
        <f t="shared" si="5"/>
        <v>14871.599999999999</v>
      </c>
      <c r="P12" s="22">
        <f t="shared" si="15"/>
        <v>3393.6991199999993</v>
      </c>
      <c r="Q12" s="22">
        <f t="shared" si="6"/>
        <v>74.35799999999999</v>
      </c>
      <c r="R12" s="22">
        <f t="shared" si="7"/>
        <v>579.99239999999986</v>
      </c>
      <c r="S12" s="21">
        <f t="shared" si="8"/>
        <v>18919.649519999995</v>
      </c>
      <c r="T12" s="39">
        <f t="shared" si="9"/>
        <v>51.55766858094659</v>
      </c>
      <c r="U12" s="26">
        <f t="shared" si="10"/>
        <v>10.304819999999998</v>
      </c>
    </row>
    <row r="13" spans="1:22" s="27" customFormat="1" ht="30" x14ac:dyDescent="0.25">
      <c r="B13" s="28"/>
      <c r="C13" s="29"/>
      <c r="F13" s="29" t="s">
        <v>24</v>
      </c>
      <c r="G13"/>
      <c r="M13" s="30" t="s">
        <v>25</v>
      </c>
      <c r="O13" s="31"/>
      <c r="P13" s="29"/>
      <c r="U13" s="31"/>
      <c r="V13" s="30" t="s">
        <v>26</v>
      </c>
    </row>
  </sheetData>
  <sheetProtection algorithmName="SHA-512" hashValue="nfYL7Efw/suEsy2h5SSlucKxvrT2slfF7R+vDd1sulrGrqFkQiydQsjcYWAJ4uZcwh1byXeTfHAUptSlJh0hFQ==" saltValue="gDmgk3U5CwxLZaUjNupuyA==" spinCount="100000" sheet="1" objects="1" scenarios="1"/>
  <mergeCells count="3">
    <mergeCell ref="A1:C1"/>
    <mergeCell ref="D1:N1"/>
    <mergeCell ref="O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Lavoro subordinato</vt:lpstr>
      <vt:lpstr>Co.Co.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</dc:creator>
  <cp:lastModifiedBy>Simonelli Don Lorenzo</cp:lastModifiedBy>
  <dcterms:created xsi:type="dcterms:W3CDTF">2019-03-09T22:20:41Z</dcterms:created>
  <dcterms:modified xsi:type="dcterms:W3CDTF">2019-03-15T08:37:11Z</dcterms:modified>
</cp:coreProperties>
</file>